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16260" windowHeight="5835" activeTab="0"/>
  </bookViews>
  <sheets>
    <sheet name="Leht1" sheetId="1" r:id="rId1"/>
    <sheet name="Leht2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<sst xmlns="http://schemas.openxmlformats.org/spreadsheetml/2006/main" count="31" uniqueCount="24">
  <si>
    <t>2004.a. laen SEB</t>
  </si>
  <si>
    <t>Laen 18 milj. kr aastani 2015,  intress 3%</t>
  </si>
  <si>
    <t>Kooli laen 11,75milj</t>
  </si>
  <si>
    <t xml:space="preserve">2011 aasta laen </t>
  </si>
  <si>
    <t>Vee-kanali laen 2012 tähtaeg 15a, puhkus 4</t>
  </si>
  <si>
    <t>Kokku</t>
  </si>
  <si>
    <t xml:space="preserve">Laen 18 milj. kr aastani </t>
  </si>
  <si>
    <t xml:space="preserve">Kooli laen 12 milj. </t>
  </si>
  <si>
    <t>Kokku jääk</t>
  </si>
  <si>
    <t>Laen 18 milj. kr aastani 2015,  intress EURIBOR+0,21</t>
  </si>
  <si>
    <t>Kooli laen 11,75 milj. Intress EURIBOR+0,84</t>
  </si>
  <si>
    <t xml:space="preserve">2013 aasta laen Refin laen </t>
  </si>
  <si>
    <t>Tagasimakse eelarvest %</t>
  </si>
  <si>
    <t xml:space="preserve">2013 aasta laen </t>
  </si>
  <si>
    <t xml:space="preserve">2013 aasta laen Refin. Laen </t>
  </si>
  <si>
    <t>A. Laenu tagasimaks</t>
  </si>
  <si>
    <t>B. Laenu jääk aasta lõpuks</t>
  </si>
  <si>
    <t>C. Intress</t>
  </si>
  <si>
    <t>D. Tagasimaks+intress</t>
  </si>
  <si>
    <t>likviidsete varade jääk aasta lõpuks</t>
  </si>
  <si>
    <t>Netovõlakoormus, %</t>
  </si>
  <si>
    <t>Vaba netovõlakoormus</t>
  </si>
  <si>
    <t>Põhitegevuse tulud (eelarvestrateegia järgi)</t>
  </si>
  <si>
    <t xml:space="preserve">Seadusega lubatud laenumaht 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</si>
</sst>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_k_r"/>
    <numFmt numFmtId="165" formatCode="#,##0.0\ _k_r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3" borderId="3" applyNumberFormat="0" applyAlignment="0" applyProtection="0"/>
    <xf numFmtId="0" fontId="28" fillId="0" borderId="4" applyNumberFormat="0" applyFill="0" applyAlignment="0" applyProtection="0"/>
    <xf numFmtId="0" fontId="0" fillId="24" borderId="5" applyNumberFormat="0" applyFont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0" borderId="9" applyNumberFormat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>
      <alignment wrapText="1"/>
    </xf>
    <xf numFmtId="164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 wrapText="1"/>
    </xf>
    <xf numFmtId="164" fontId="3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/>
    </xf>
    <xf numFmtId="164" fontId="3" fillId="0" borderId="0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 wrapText="1"/>
    </xf>
    <xf numFmtId="164" fontId="3" fillId="0" borderId="10" xfId="0" applyNumberFormat="1" applyFont="1" applyFill="1" applyBorder="1" applyAlignment="1">
      <alignment/>
    </xf>
    <xf numFmtId="165" fontId="2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 horizontal="right"/>
    </xf>
    <xf numFmtId="10" fontId="2" fillId="0" borderId="0" xfId="0" applyNumberFormat="1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164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X39"/>
  <sheetViews>
    <sheetView tabSelected="1" view="pageLayout" zoomScaleNormal="70" workbookViewId="0" topLeftCell="N1">
      <selection activeCell="R1" sqref="R1"/>
    </sheetView>
  </sheetViews>
  <sheetFormatPr defaultColWidth="9.140625" defaultRowHeight="15"/>
  <cols>
    <col min="1" max="1" width="45.140625" style="1" customWidth="1"/>
    <col min="2" max="2" width="0.2890625" style="1" customWidth="1"/>
    <col min="3" max="3" width="0.42578125" style="1" customWidth="1"/>
    <col min="4" max="4" width="0.2890625" style="1" customWidth="1"/>
    <col min="5" max="5" width="0.42578125" style="1" customWidth="1"/>
    <col min="6" max="6" width="0.5625" style="1" customWidth="1"/>
    <col min="7" max="7" width="0.42578125" style="1" customWidth="1"/>
    <col min="8" max="8" width="0.2890625" style="1" customWidth="1"/>
    <col min="9" max="9" width="0.42578125" style="1" customWidth="1"/>
    <col min="10" max="10" width="0.13671875" style="1" customWidth="1"/>
    <col min="11" max="11" width="0.42578125" style="1" customWidth="1"/>
    <col min="12" max="12" width="12.57421875" style="1" customWidth="1"/>
    <col min="13" max="13" width="14.8515625" style="1" bestFit="1" customWidth="1"/>
    <col min="14" max="14" width="13.8515625" style="1" customWidth="1"/>
    <col min="15" max="15" width="14.00390625" style="1" customWidth="1"/>
    <col min="16" max="16" width="13.421875" style="1" customWidth="1"/>
    <col min="17" max="17" width="13.8515625" style="1" customWidth="1"/>
    <col min="18" max="18" width="16.421875" style="1" bestFit="1" customWidth="1"/>
    <col min="19" max="19" width="14.7109375" style="1" customWidth="1"/>
    <col min="20" max="20" width="13.7109375" style="1" customWidth="1"/>
    <col min="21" max="21" width="12.8515625" style="1" bestFit="1" customWidth="1"/>
    <col min="22" max="22" width="15.57421875" style="1" customWidth="1"/>
    <col min="23" max="16384" width="9.140625" style="1" customWidth="1"/>
  </cols>
  <sheetData>
    <row r="3" spans="1:20" ht="20.25" customHeight="1">
      <c r="A3" s="2"/>
      <c r="B3" s="3">
        <v>2004</v>
      </c>
      <c r="C3" s="3">
        <v>2005</v>
      </c>
      <c r="D3" s="3">
        <v>2006</v>
      </c>
      <c r="E3" s="3">
        <v>2007</v>
      </c>
      <c r="F3" s="3">
        <v>2008</v>
      </c>
      <c r="G3" s="3">
        <v>2009</v>
      </c>
      <c r="H3" s="4">
        <v>2010</v>
      </c>
      <c r="I3" s="1">
        <v>2011</v>
      </c>
      <c r="J3" s="1">
        <v>2012</v>
      </c>
      <c r="K3" s="1">
        <v>2013</v>
      </c>
      <c r="L3" s="1">
        <v>2014</v>
      </c>
      <c r="M3" s="1">
        <v>2015</v>
      </c>
      <c r="N3" s="1">
        <v>2016</v>
      </c>
      <c r="O3" s="1">
        <v>2017</v>
      </c>
      <c r="P3" s="1">
        <v>2018</v>
      </c>
      <c r="Q3" s="1">
        <v>2019</v>
      </c>
      <c r="R3" s="1">
        <v>2020</v>
      </c>
      <c r="S3" s="1">
        <v>2021</v>
      </c>
      <c r="T3" s="1">
        <v>2022</v>
      </c>
    </row>
    <row r="4" spans="1:8" ht="15.75">
      <c r="A4" s="19" t="s">
        <v>15</v>
      </c>
      <c r="B4" s="3"/>
      <c r="C4" s="3"/>
      <c r="D4" s="3"/>
      <c r="E4" s="3"/>
      <c r="F4" s="3"/>
      <c r="G4" s="3"/>
      <c r="H4" s="4"/>
    </row>
    <row r="5" spans="1:8" ht="15.75">
      <c r="A5" s="2" t="s">
        <v>0</v>
      </c>
      <c r="B5" s="3">
        <f>C5/12*2</f>
        <v>6847.67510726505</v>
      </c>
      <c r="C5" s="3">
        <f>642857/15.6466</f>
        <v>41086.0506435903</v>
      </c>
      <c r="D5" s="3">
        <f>642857/15.6466</f>
        <v>41086.0506435903</v>
      </c>
      <c r="E5" s="3">
        <f>642857/15.6466</f>
        <v>41086.0506435903</v>
      </c>
      <c r="F5" s="3">
        <f>642857/15.6466</f>
        <v>41086.0506435903</v>
      </c>
      <c r="G5" s="3">
        <f>F5/12*6</f>
        <v>20543.02532179515</v>
      </c>
      <c r="H5" s="4"/>
    </row>
    <row r="6" spans="1:13" ht="15.75">
      <c r="A6" s="2" t="s">
        <v>1</v>
      </c>
      <c r="B6" s="3"/>
      <c r="C6" s="3">
        <v>0</v>
      </c>
      <c r="D6" s="3">
        <v>0</v>
      </c>
      <c r="E6" s="3">
        <f>2037736/15.6466</f>
        <v>130235.06704331932</v>
      </c>
      <c r="F6" s="3">
        <f>2037736/15.6466</f>
        <v>130235.06704331932</v>
      </c>
      <c r="G6" s="3">
        <f>2037736/15.6466</f>
        <v>130235.06704331932</v>
      </c>
      <c r="H6" s="3">
        <f>2037736/15.6466</f>
        <v>130235.06704331932</v>
      </c>
      <c r="I6" s="3">
        <f>2037736/15.6466</f>
        <v>130235.06704331932</v>
      </c>
      <c r="J6" s="3">
        <v>130317</v>
      </c>
      <c r="K6" s="3">
        <v>130317</v>
      </c>
      <c r="L6" s="3">
        <v>130317</v>
      </c>
      <c r="M6" s="3">
        <v>108595</v>
      </c>
    </row>
    <row r="7" spans="1:18" ht="15.75">
      <c r="A7" s="2" t="s">
        <v>2</v>
      </c>
      <c r="B7" s="3"/>
      <c r="C7" s="3"/>
      <c r="D7" s="3"/>
      <c r="E7" s="3"/>
      <c r="F7" s="3"/>
      <c r="G7" s="3">
        <f>435185/15.6466</f>
        <v>27813.390768601486</v>
      </c>
      <c r="H7" s="3">
        <f>1305555/15.6466</f>
        <v>83440.17230580446</v>
      </c>
      <c r="I7" s="3">
        <f>1305555/15.6466</f>
        <v>83440.17230580446</v>
      </c>
      <c r="J7" s="3">
        <v>82726.8</v>
      </c>
      <c r="K7" s="3">
        <v>9000</v>
      </c>
      <c r="L7" s="3"/>
      <c r="M7" s="3"/>
      <c r="N7" s="3"/>
      <c r="O7" s="3"/>
      <c r="P7" s="3"/>
      <c r="Q7" s="3"/>
      <c r="R7" s="3"/>
    </row>
    <row r="8" spans="1:19" ht="15.75">
      <c r="A8" s="2" t="s">
        <v>3</v>
      </c>
      <c r="B8" s="3"/>
      <c r="C8" s="3"/>
      <c r="D8" s="3"/>
      <c r="E8" s="3"/>
      <c r="F8" s="3"/>
      <c r="G8" s="3"/>
      <c r="H8" s="3"/>
      <c r="I8" s="3"/>
      <c r="J8" s="3">
        <v>0</v>
      </c>
      <c r="K8" s="3">
        <v>0</v>
      </c>
      <c r="L8" s="3">
        <v>32740</v>
      </c>
      <c r="M8" s="3">
        <v>78571</v>
      </c>
      <c r="N8" s="3">
        <v>78571</v>
      </c>
      <c r="O8" s="3">
        <v>78571</v>
      </c>
      <c r="P8" s="3">
        <v>78571</v>
      </c>
      <c r="Q8" s="3">
        <v>78571</v>
      </c>
      <c r="R8" s="3">
        <v>78571</v>
      </c>
      <c r="S8" s="3">
        <v>45834</v>
      </c>
    </row>
    <row r="9" spans="1:22" ht="15.75">
      <c r="A9" s="2" t="s">
        <v>14</v>
      </c>
      <c r="B9" s="3"/>
      <c r="C9" s="3"/>
      <c r="D9" s="3"/>
      <c r="E9" s="3"/>
      <c r="F9" s="3"/>
      <c r="G9" s="3"/>
      <c r="H9" s="3"/>
      <c r="I9" s="3"/>
      <c r="J9" s="3"/>
      <c r="K9" s="3">
        <v>0</v>
      </c>
      <c r="L9" s="3">
        <v>0</v>
      </c>
      <c r="M9" s="3">
        <v>0</v>
      </c>
      <c r="N9" s="3">
        <v>83350</v>
      </c>
      <c r="O9" s="3">
        <v>90928</v>
      </c>
      <c r="P9" s="3">
        <v>90928</v>
      </c>
      <c r="Q9" s="3">
        <v>90928</v>
      </c>
      <c r="R9" s="3">
        <v>90928</v>
      </c>
      <c r="S9" s="3">
        <v>90928</v>
      </c>
      <c r="T9" s="3">
        <v>90928</v>
      </c>
      <c r="U9" s="3">
        <v>8320</v>
      </c>
      <c r="V9" s="3"/>
    </row>
    <row r="10" spans="1:22" ht="15.75">
      <c r="A10" s="2" t="s">
        <v>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>
        <v>14545</v>
      </c>
      <c r="O10" s="3">
        <v>29090</v>
      </c>
      <c r="P10" s="3">
        <v>29090</v>
      </c>
      <c r="Q10" s="3">
        <v>29090</v>
      </c>
      <c r="R10" s="3">
        <v>29090</v>
      </c>
      <c r="S10" s="3">
        <v>29090</v>
      </c>
      <c r="T10" s="3">
        <v>29090</v>
      </c>
      <c r="U10" s="3"/>
      <c r="V10" s="3"/>
    </row>
    <row r="11" spans="1:22" s="5" customFormat="1" ht="15.75">
      <c r="A11" s="6" t="s">
        <v>5</v>
      </c>
      <c r="B11" s="7">
        <f>SUM(B5:B6)</f>
        <v>6847.67510726505</v>
      </c>
      <c r="C11" s="7">
        <f>SUM(C5:C6)</f>
        <v>41086.0506435903</v>
      </c>
      <c r="D11" s="7">
        <f>SUM(D5:D6)</f>
        <v>41086.0506435903</v>
      </c>
      <c r="E11" s="7">
        <f>SUM(E5:E7)</f>
        <v>171321.11768690962</v>
      </c>
      <c r="F11" s="7">
        <f>SUM(F5:F7)</f>
        <v>171321.11768690962</v>
      </c>
      <c r="G11" s="7">
        <f>SUM(G5:G8)</f>
        <v>178591.48313371593</v>
      </c>
      <c r="H11" s="7">
        <f>SUM(H5:H9)</f>
        <v>213675.2393491238</v>
      </c>
      <c r="I11" s="7">
        <f>SUM(I6:I10)</f>
        <v>213675.2393491238</v>
      </c>
      <c r="J11" s="7">
        <f aca="true" t="shared" si="0" ref="J11:T11">SUM(J6:J10)</f>
        <v>213043.8</v>
      </c>
      <c r="K11" s="7">
        <f t="shared" si="0"/>
        <v>139317</v>
      </c>
      <c r="L11" s="7">
        <f t="shared" si="0"/>
        <v>163057</v>
      </c>
      <c r="M11" s="7">
        <f t="shared" si="0"/>
        <v>187166</v>
      </c>
      <c r="N11" s="7">
        <f t="shared" si="0"/>
        <v>176466</v>
      </c>
      <c r="O11" s="7">
        <f t="shared" si="0"/>
        <v>198589</v>
      </c>
      <c r="P11" s="7">
        <f t="shared" si="0"/>
        <v>198589</v>
      </c>
      <c r="Q11" s="7">
        <f t="shared" si="0"/>
        <v>198589</v>
      </c>
      <c r="R11" s="7">
        <f t="shared" si="0"/>
        <v>198589</v>
      </c>
      <c r="S11" s="7">
        <f t="shared" si="0"/>
        <v>165852</v>
      </c>
      <c r="T11" s="7">
        <f t="shared" si="0"/>
        <v>120018</v>
      </c>
      <c r="U11" s="7"/>
      <c r="V11" s="7"/>
    </row>
    <row r="12" spans="1:8" ht="15.75">
      <c r="A12" s="2"/>
      <c r="B12" s="3"/>
      <c r="C12" s="3"/>
      <c r="D12" s="3"/>
      <c r="E12" s="3"/>
      <c r="F12" s="3"/>
      <c r="G12" s="3"/>
      <c r="H12" s="4"/>
    </row>
    <row r="13" spans="1:8" ht="15.75">
      <c r="A13" s="19" t="s">
        <v>16</v>
      </c>
      <c r="B13" s="3"/>
      <c r="C13" s="3"/>
      <c r="D13" s="3"/>
      <c r="E13" s="3"/>
      <c r="F13" s="3"/>
      <c r="G13" s="3"/>
      <c r="H13" s="4"/>
    </row>
    <row r="14" spans="1:9" ht="15.75">
      <c r="A14" s="2" t="s">
        <v>0</v>
      </c>
      <c r="C14" s="3">
        <f>(3000000-B5)/15.6466</f>
        <v>191297.2994064356</v>
      </c>
      <c r="D14" s="3">
        <f>C14-C5</f>
        <v>150211.2487628453</v>
      </c>
      <c r="E14" s="3">
        <f>D14-D5</f>
        <v>109125.19811925499</v>
      </c>
      <c r="F14" s="3">
        <f>E14-E5</f>
        <v>68039.14747566468</v>
      </c>
      <c r="G14" s="3">
        <f>F14-F5</f>
        <v>26953.096832074378</v>
      </c>
      <c r="H14" s="3">
        <f>G14-G5</f>
        <v>6410.071510279227</v>
      </c>
      <c r="I14" s="4"/>
    </row>
    <row r="15" spans="1:14" ht="15.75" customHeight="1">
      <c r="A15" s="2" t="s">
        <v>6</v>
      </c>
      <c r="C15" s="3"/>
      <c r="D15" s="3"/>
      <c r="E15" s="3">
        <f>F15+E6</f>
        <v>1150409.6736671226</v>
      </c>
      <c r="F15" s="3">
        <f>G15+F6</f>
        <v>1020174.6066238034</v>
      </c>
      <c r="G15" s="3">
        <f>H15+G6</f>
        <v>889939.539580484</v>
      </c>
      <c r="H15" s="4">
        <f>11886792/15.6466</f>
        <v>759704.4725371647</v>
      </c>
      <c r="I15" s="4">
        <v>499546</v>
      </c>
      <c r="J15" s="4">
        <f>I15-J6</f>
        <v>369229</v>
      </c>
      <c r="K15" s="4">
        <f>J15-K6</f>
        <v>238912</v>
      </c>
      <c r="L15" s="4">
        <f>K15-L6</f>
        <v>108595</v>
      </c>
      <c r="M15" s="4">
        <f>L15-M6</f>
        <v>0</v>
      </c>
      <c r="N15" s="4">
        <v>0</v>
      </c>
    </row>
    <row r="16" spans="1:19" ht="15.75" customHeight="1">
      <c r="A16" s="2" t="s">
        <v>7</v>
      </c>
      <c r="C16" s="3"/>
      <c r="D16" s="3"/>
      <c r="E16" s="3"/>
      <c r="F16" s="3"/>
      <c r="G16" s="3">
        <f>11750000/15.6466</f>
        <v>750961.8703104828</v>
      </c>
      <c r="H16" s="4">
        <f>11314815/15.6466</f>
        <v>723148.4795418814</v>
      </c>
      <c r="I16" s="4">
        <v>558403.8</v>
      </c>
      <c r="J16" s="4">
        <f>I16-J7</f>
        <v>475677.00000000006</v>
      </c>
      <c r="K16" s="4"/>
      <c r="L16" s="4"/>
      <c r="M16" s="4"/>
      <c r="N16" s="4"/>
      <c r="O16" s="4"/>
      <c r="P16" s="4"/>
      <c r="Q16" s="4"/>
      <c r="R16" s="4"/>
      <c r="S16" s="4"/>
    </row>
    <row r="17" spans="1:21" s="8" customFormat="1" ht="15.75">
      <c r="A17" s="9" t="s">
        <v>3</v>
      </c>
      <c r="B17" s="10"/>
      <c r="C17" s="10"/>
      <c r="D17" s="10"/>
      <c r="E17" s="10"/>
      <c r="F17" s="10"/>
      <c r="G17" s="10"/>
      <c r="H17" s="10"/>
      <c r="I17" s="10"/>
      <c r="J17" s="10">
        <v>550000</v>
      </c>
      <c r="K17" s="4">
        <f aca="true" t="shared" si="1" ref="K17:T17">J17-K8</f>
        <v>550000</v>
      </c>
      <c r="L17" s="4">
        <f t="shared" si="1"/>
        <v>517260</v>
      </c>
      <c r="M17" s="4">
        <f t="shared" si="1"/>
        <v>438689</v>
      </c>
      <c r="N17" s="4">
        <f t="shared" si="1"/>
        <v>360118</v>
      </c>
      <c r="O17" s="4">
        <f t="shared" si="1"/>
        <v>281547</v>
      </c>
      <c r="P17" s="4">
        <f t="shared" si="1"/>
        <v>202976</v>
      </c>
      <c r="Q17" s="4">
        <f t="shared" si="1"/>
        <v>124405</v>
      </c>
      <c r="R17" s="4">
        <f t="shared" si="1"/>
        <v>45834</v>
      </c>
      <c r="S17" s="4">
        <f t="shared" si="1"/>
        <v>0</v>
      </c>
      <c r="T17" s="4">
        <f t="shared" si="1"/>
        <v>0</v>
      </c>
      <c r="U17" s="4">
        <f>T17-T8</f>
        <v>0</v>
      </c>
    </row>
    <row r="18" spans="1:22" ht="15.75" customHeight="1">
      <c r="A18" s="2" t="s">
        <v>13</v>
      </c>
      <c r="C18" s="3"/>
      <c r="D18" s="3"/>
      <c r="E18" s="3"/>
      <c r="F18" s="3"/>
      <c r="G18" s="3"/>
      <c r="H18" s="4"/>
      <c r="I18" s="4"/>
      <c r="J18" s="4"/>
      <c r="K18" s="4">
        <v>637237.65</v>
      </c>
      <c r="L18" s="4">
        <f aca="true" t="shared" si="2" ref="L18:U18">K18-L9</f>
        <v>637237.65</v>
      </c>
      <c r="M18" s="4">
        <f t="shared" si="2"/>
        <v>637237.65</v>
      </c>
      <c r="N18" s="4">
        <f t="shared" si="2"/>
        <v>553887.65</v>
      </c>
      <c r="O18" s="4">
        <f t="shared" si="2"/>
        <v>462959.65</v>
      </c>
      <c r="P18" s="4">
        <f t="shared" si="2"/>
        <v>372031.65</v>
      </c>
      <c r="Q18" s="4">
        <f t="shared" si="2"/>
        <v>281103.65</v>
      </c>
      <c r="R18" s="4">
        <f t="shared" si="2"/>
        <v>190175.65000000002</v>
      </c>
      <c r="S18" s="4">
        <f t="shared" si="2"/>
        <v>99247.65000000002</v>
      </c>
      <c r="T18" s="4">
        <f t="shared" si="2"/>
        <v>8319.650000000023</v>
      </c>
      <c r="U18" s="4">
        <f t="shared" si="2"/>
        <v>-0.34999999997671694</v>
      </c>
      <c r="V18" s="4"/>
    </row>
    <row r="19" spans="1:22" ht="15.75" customHeight="1">
      <c r="A19" s="2" t="s">
        <v>4</v>
      </c>
      <c r="C19" s="3"/>
      <c r="D19" s="3"/>
      <c r="E19" s="3"/>
      <c r="F19" s="3"/>
      <c r="G19" s="3"/>
      <c r="H19" s="4"/>
      <c r="I19" s="4"/>
      <c r="J19" s="4">
        <v>192000</v>
      </c>
      <c r="K19" s="4">
        <v>320000</v>
      </c>
      <c r="L19" s="4">
        <v>320000</v>
      </c>
      <c r="M19" s="4">
        <f aca="true" t="shared" si="3" ref="M19:T19">L19-M10</f>
        <v>320000</v>
      </c>
      <c r="N19" s="4">
        <f t="shared" si="3"/>
        <v>305455</v>
      </c>
      <c r="O19" s="4">
        <f t="shared" si="3"/>
        <v>276365</v>
      </c>
      <c r="P19" s="4">
        <f t="shared" si="3"/>
        <v>247275</v>
      </c>
      <c r="Q19" s="4">
        <f t="shared" si="3"/>
        <v>218185</v>
      </c>
      <c r="R19" s="4">
        <f t="shared" si="3"/>
        <v>189095</v>
      </c>
      <c r="S19" s="4">
        <f t="shared" si="3"/>
        <v>160005</v>
      </c>
      <c r="T19" s="4">
        <f t="shared" si="3"/>
        <v>130915</v>
      </c>
      <c r="U19" s="4"/>
      <c r="V19" s="4"/>
    </row>
    <row r="20" spans="1:22" s="5" customFormat="1" ht="15.75">
      <c r="A20" s="6" t="s">
        <v>8</v>
      </c>
      <c r="B20" s="7">
        <f>SUM(C14:C15)</f>
        <v>191297.2994064356</v>
      </c>
      <c r="C20" s="7">
        <f>SUM(D14:D15)</f>
        <v>150211.2487628453</v>
      </c>
      <c r="D20" s="7">
        <f>SUM(E14:E15)</f>
        <v>1259534.8717863776</v>
      </c>
      <c r="E20" s="7">
        <f>SUM(F14:F16)</f>
        <v>1088213.754099468</v>
      </c>
      <c r="F20" s="7">
        <f>SUM(G14:G16)</f>
        <v>1667854.5067230412</v>
      </c>
      <c r="G20" s="7">
        <f>SUM(H14:H17)</f>
        <v>1489263.0235893251</v>
      </c>
      <c r="H20" s="7">
        <f>SUM(H14:H18)</f>
        <v>1489263.0235893251</v>
      </c>
      <c r="I20" s="7">
        <f>SUM(I15:I19)</f>
        <v>1057949.8</v>
      </c>
      <c r="J20" s="7">
        <f aca="true" t="shared" si="4" ref="J20:T20">SUM(J15:J19)</f>
        <v>1586906</v>
      </c>
      <c r="K20" s="7">
        <f t="shared" si="4"/>
        <v>1746149.65</v>
      </c>
      <c r="L20" s="7">
        <f t="shared" si="4"/>
        <v>1583092.65</v>
      </c>
      <c r="M20" s="7">
        <f t="shared" si="4"/>
        <v>1395926.65</v>
      </c>
      <c r="N20" s="7">
        <f t="shared" si="4"/>
        <v>1219460.65</v>
      </c>
      <c r="O20" s="7">
        <f t="shared" si="4"/>
        <v>1020871.65</v>
      </c>
      <c r="P20" s="7">
        <f t="shared" si="4"/>
        <v>822282.65</v>
      </c>
      <c r="Q20" s="7">
        <f t="shared" si="4"/>
        <v>623693.65</v>
      </c>
      <c r="R20" s="7">
        <f t="shared" si="4"/>
        <v>425104.65</v>
      </c>
      <c r="S20" s="7">
        <f t="shared" si="4"/>
        <v>259252.65000000002</v>
      </c>
      <c r="T20" s="7">
        <f t="shared" si="4"/>
        <v>139234.65000000002</v>
      </c>
      <c r="U20" s="7"/>
      <c r="V20" s="7"/>
    </row>
    <row r="21" spans="1:22" s="5" customFormat="1" ht="15.75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8" s="5" customFormat="1" ht="15.75">
      <c r="A22" s="20" t="s">
        <v>17</v>
      </c>
      <c r="B22" s="7"/>
      <c r="C22" s="7"/>
      <c r="D22" s="7"/>
      <c r="E22" s="7"/>
      <c r="F22" s="7"/>
      <c r="G22" s="7"/>
      <c r="H22" s="7"/>
    </row>
    <row r="23" spans="1:8" ht="0.75" customHeight="1">
      <c r="A23" s="2" t="s">
        <v>0</v>
      </c>
      <c r="B23" s="3">
        <v>42708</v>
      </c>
      <c r="C23" s="3">
        <v>91875</v>
      </c>
      <c r="D23" s="3">
        <v>76875</v>
      </c>
      <c r="E23" s="3">
        <v>61875</v>
      </c>
      <c r="F23" s="3">
        <v>46875</v>
      </c>
      <c r="G23" s="3">
        <v>16875</v>
      </c>
      <c r="H23" s="4"/>
    </row>
    <row r="24" spans="1:21" ht="31.5">
      <c r="A24" s="2" t="s">
        <v>9</v>
      </c>
      <c r="B24" s="3"/>
      <c r="C24" s="3">
        <v>0</v>
      </c>
      <c r="D24" s="3">
        <v>200000</v>
      </c>
      <c r="E24" s="3">
        <f>E15*0.04</f>
        <v>46016.38694668491</v>
      </c>
      <c r="F24" s="3">
        <f>F15*0.04</f>
        <v>40806.98426495214</v>
      </c>
      <c r="G24" s="3">
        <f>(G15+H15)/2*0.0315</f>
        <v>25981.893190852967</v>
      </c>
      <c r="H24" s="3">
        <f>(G15+I15)/2*0.02</f>
        <v>13894.85539580484</v>
      </c>
      <c r="I24" s="3">
        <f>(H15+J15)/2*0.02</f>
        <v>11289.334725371646</v>
      </c>
      <c r="J24" s="3">
        <f>(I15+K15)/2*0.01</f>
        <v>3692.29</v>
      </c>
      <c r="K24" s="3">
        <f>(J15+L15)/2*0.015</f>
        <v>3583.68</v>
      </c>
      <c r="L24" s="3">
        <f>(K15+M15)/2*0.015</f>
        <v>1791.84</v>
      </c>
      <c r="M24" s="3">
        <f>(M15+N15)/2*0.01</f>
        <v>0</v>
      </c>
      <c r="N24" s="3">
        <f>(N15+O15)/2*0.02</f>
        <v>0</v>
      </c>
      <c r="U24" s="3">
        <f>SUM(K24:T24)</f>
        <v>5375.5199999999995</v>
      </c>
    </row>
    <row r="25" spans="1:21" ht="30" customHeight="1">
      <c r="A25" s="2" t="s">
        <v>10</v>
      </c>
      <c r="B25" s="3"/>
      <c r="C25" s="3"/>
      <c r="D25" s="3"/>
      <c r="E25" s="3"/>
      <c r="F25" s="3">
        <v>200000</v>
      </c>
      <c r="G25" s="3">
        <f>G16*0.0385</f>
        <v>28912.03200695359</v>
      </c>
      <c r="H25" s="3">
        <f>(G16+I16)/2*0.0264</f>
        <v>17283.626848098374</v>
      </c>
      <c r="I25" s="3">
        <f>(H16+J16)/2*0.0264</f>
        <v>15824.496329952835</v>
      </c>
      <c r="J25" s="3">
        <f>(I16+K16)/2*0.0264</f>
        <v>7370.930160000001</v>
      </c>
      <c r="K25" s="3">
        <f aca="true" t="shared" si="5" ref="K25:P25">(K16+L16)/2*0.0264</f>
        <v>0</v>
      </c>
      <c r="L25" s="3">
        <f t="shared" si="5"/>
        <v>0</v>
      </c>
      <c r="M25" s="3">
        <f t="shared" si="5"/>
        <v>0</v>
      </c>
      <c r="N25" s="3">
        <f t="shared" si="5"/>
        <v>0</v>
      </c>
      <c r="O25" s="3">
        <f t="shared" si="5"/>
        <v>0</v>
      </c>
      <c r="P25" s="3">
        <f t="shared" si="5"/>
        <v>0</v>
      </c>
      <c r="Q25" s="3">
        <f>(Q16+R16)/2*0.0204</f>
        <v>0</v>
      </c>
      <c r="R25" s="3">
        <f>R16*0.05</f>
        <v>0</v>
      </c>
      <c r="S25" s="3">
        <f>S16*0.05</f>
        <v>0</v>
      </c>
      <c r="U25" s="3">
        <f>SUM(K25:T25)</f>
        <v>0</v>
      </c>
    </row>
    <row r="26" spans="1:21" ht="15.75">
      <c r="A26" s="2" t="s">
        <v>3</v>
      </c>
      <c r="B26" s="3"/>
      <c r="C26" s="3"/>
      <c r="D26" s="3"/>
      <c r="E26" s="3"/>
      <c r="F26" s="3"/>
      <c r="G26" s="3"/>
      <c r="H26" s="3">
        <f>(H17+I17)/2*0.025</f>
        <v>0</v>
      </c>
      <c r="I26" s="3">
        <f>(I17+J17)/2*0.025</f>
        <v>6875</v>
      </c>
      <c r="J26" s="3">
        <f>(J17+K17)/2*0.028</f>
        <v>15400</v>
      </c>
      <c r="K26" s="3">
        <f>(K17+L17)/2*0.02</f>
        <v>10672.6</v>
      </c>
      <c r="L26" s="3">
        <f aca="true" t="shared" si="6" ref="L26:R26">(L17+M17)/2*0.02</f>
        <v>9559.49</v>
      </c>
      <c r="M26" s="3">
        <f t="shared" si="6"/>
        <v>7988.070000000001</v>
      </c>
      <c r="N26" s="3">
        <f t="shared" si="6"/>
        <v>6416.650000000001</v>
      </c>
      <c r="O26" s="3">
        <f t="shared" si="6"/>
        <v>4845.2300000000005</v>
      </c>
      <c r="P26" s="3">
        <f t="shared" si="6"/>
        <v>3273.81</v>
      </c>
      <c r="Q26" s="3">
        <f t="shared" si="6"/>
        <v>1702.39</v>
      </c>
      <c r="R26" s="3">
        <f t="shared" si="6"/>
        <v>458.34000000000003</v>
      </c>
      <c r="S26" s="3">
        <f>(S17+T17)/2*0.018</f>
        <v>0</v>
      </c>
      <c r="U26" s="3">
        <f>SUM(K26:T26)</f>
        <v>44916.579999999994</v>
      </c>
    </row>
    <row r="27" spans="1:22" ht="15.75">
      <c r="A27" s="2" t="s">
        <v>11</v>
      </c>
      <c r="B27" s="3"/>
      <c r="C27" s="3"/>
      <c r="D27" s="3"/>
      <c r="E27" s="3"/>
      <c r="F27" s="3"/>
      <c r="G27" s="3"/>
      <c r="H27" s="3"/>
      <c r="I27" s="3"/>
      <c r="J27" s="3">
        <v>5624</v>
      </c>
      <c r="K27" s="3">
        <f>(K18+L18)/2*0.023</f>
        <v>14656.46595</v>
      </c>
      <c r="L27" s="3">
        <f aca="true" t="shared" si="7" ref="L27:T27">(L18+M18)/2*0.023</f>
        <v>14656.46595</v>
      </c>
      <c r="M27" s="3">
        <f t="shared" si="7"/>
        <v>13697.94095</v>
      </c>
      <c r="N27" s="3">
        <f t="shared" si="7"/>
        <v>11693.74395</v>
      </c>
      <c r="O27" s="3">
        <f t="shared" si="7"/>
        <v>9602.39995</v>
      </c>
      <c r="P27" s="3">
        <f t="shared" si="7"/>
        <v>7511.055950000001</v>
      </c>
      <c r="Q27" s="3">
        <f t="shared" si="7"/>
        <v>5419.711950000001</v>
      </c>
      <c r="R27" s="3">
        <f t="shared" si="7"/>
        <v>3328.3679500000003</v>
      </c>
      <c r="S27" s="3">
        <f t="shared" si="7"/>
        <v>1237.0239500000005</v>
      </c>
      <c r="T27" s="3">
        <f t="shared" si="7"/>
        <v>95.67195000000054</v>
      </c>
      <c r="U27" s="3">
        <f>SUM(K27:T27)</f>
        <v>81898.84850000001</v>
      </c>
      <c r="V27" s="3"/>
    </row>
    <row r="28" spans="1:22" ht="15.75">
      <c r="A28" s="2" t="s">
        <v>4</v>
      </c>
      <c r="B28" s="3"/>
      <c r="C28" s="3"/>
      <c r="D28" s="3"/>
      <c r="E28" s="3"/>
      <c r="F28" s="3"/>
      <c r="G28" s="3"/>
      <c r="H28" s="3"/>
      <c r="I28" s="3"/>
      <c r="J28" s="3">
        <v>3100</v>
      </c>
      <c r="K28" s="3">
        <f>(K19+L19)/2*0.015</f>
        <v>4800</v>
      </c>
      <c r="L28" s="3">
        <f aca="true" t="shared" si="8" ref="L28:V28">(L19+M19)/2*0.015</f>
        <v>4800</v>
      </c>
      <c r="M28" s="3">
        <f t="shared" si="8"/>
        <v>4690.912499999999</v>
      </c>
      <c r="N28" s="3">
        <f t="shared" si="8"/>
        <v>4363.65</v>
      </c>
      <c r="O28" s="3">
        <f t="shared" si="8"/>
        <v>3927.2999999999997</v>
      </c>
      <c r="P28" s="3">
        <f t="shared" si="8"/>
        <v>3490.95</v>
      </c>
      <c r="Q28" s="3">
        <f t="shared" si="8"/>
        <v>3054.6</v>
      </c>
      <c r="R28" s="3">
        <f t="shared" si="8"/>
        <v>2618.25</v>
      </c>
      <c r="S28" s="3">
        <f t="shared" si="8"/>
        <v>2181.9</v>
      </c>
      <c r="T28" s="3">
        <f t="shared" si="8"/>
        <v>981.8625</v>
      </c>
      <c r="U28" s="3">
        <f t="shared" si="8"/>
        <v>0</v>
      </c>
      <c r="V28" s="3">
        <f t="shared" si="8"/>
        <v>0</v>
      </c>
    </row>
    <row r="29" spans="1:22" s="5" customFormat="1" ht="15.75">
      <c r="A29" s="11" t="s">
        <v>5</v>
      </c>
      <c r="B29" s="11">
        <f>SUM(B23:B24)</f>
        <v>42708</v>
      </c>
      <c r="C29" s="11">
        <f>SUM(C23:C24)</f>
        <v>91875</v>
      </c>
      <c r="D29" s="11">
        <f>SUM(D23:D24)</f>
        <v>276875</v>
      </c>
      <c r="E29" s="11">
        <f>SUM(E23:E25)</f>
        <v>107891.38694668491</v>
      </c>
      <c r="F29" s="11">
        <f>SUM(F23:F25)</f>
        <v>287681.98426495213</v>
      </c>
      <c r="G29" s="11">
        <f>SUM(G23:G26)</f>
        <v>71768.92519780656</v>
      </c>
      <c r="H29" s="11">
        <f>SUM(H23:H27)</f>
        <v>31178.482243903214</v>
      </c>
      <c r="I29" s="11">
        <f>SUM(I24:I28)</f>
        <v>33988.83105532448</v>
      </c>
      <c r="J29" s="11">
        <f aca="true" t="shared" si="9" ref="J29:T29">SUM(J24:J28)</f>
        <v>35187.22016</v>
      </c>
      <c r="K29" s="11">
        <f t="shared" si="9"/>
        <v>33712.74595</v>
      </c>
      <c r="L29" s="11">
        <f t="shared" si="9"/>
        <v>30807.79595</v>
      </c>
      <c r="M29" s="11">
        <f t="shared" si="9"/>
        <v>26376.92345</v>
      </c>
      <c r="N29" s="11">
        <f t="shared" si="9"/>
        <v>22474.04395</v>
      </c>
      <c r="O29" s="11">
        <f t="shared" si="9"/>
        <v>18374.92995</v>
      </c>
      <c r="P29" s="11">
        <f t="shared" si="9"/>
        <v>14275.81595</v>
      </c>
      <c r="Q29" s="11">
        <f t="shared" si="9"/>
        <v>10176.70195</v>
      </c>
      <c r="R29" s="11">
        <f t="shared" si="9"/>
        <v>6404.95795</v>
      </c>
      <c r="S29" s="11">
        <f t="shared" si="9"/>
        <v>3418.9239500000003</v>
      </c>
      <c r="T29" s="11">
        <f t="shared" si="9"/>
        <v>1077.5344500000006</v>
      </c>
      <c r="U29" s="11"/>
      <c r="V29" s="11"/>
    </row>
    <row r="30" spans="1:22" s="5" customFormat="1" ht="15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</row>
    <row r="31" spans="1:22" ht="15.75" customHeight="1" thickBot="1">
      <c r="A31" s="12" t="s">
        <v>18</v>
      </c>
      <c r="B31" s="13"/>
      <c r="C31" s="13">
        <f aca="true" t="shared" si="10" ref="C31:T31">C11+C29</f>
        <v>132961.0506435903</v>
      </c>
      <c r="D31" s="13">
        <f t="shared" si="10"/>
        <v>317961.0506435903</v>
      </c>
      <c r="E31" s="13">
        <f t="shared" si="10"/>
        <v>279212.50463359454</v>
      </c>
      <c r="F31" s="13">
        <f t="shared" si="10"/>
        <v>459003.10195186175</v>
      </c>
      <c r="G31" s="13">
        <f t="shared" si="10"/>
        <v>250360.40833152249</v>
      </c>
      <c r="H31" s="13">
        <f t="shared" si="10"/>
        <v>244853.721593027</v>
      </c>
      <c r="I31" s="13">
        <f t="shared" si="10"/>
        <v>247664.07040444826</v>
      </c>
      <c r="J31" s="13">
        <f t="shared" si="10"/>
        <v>248231.02016</v>
      </c>
      <c r="K31" s="13">
        <f t="shared" si="10"/>
        <v>173029.74595</v>
      </c>
      <c r="L31" s="13">
        <f t="shared" si="10"/>
        <v>193864.79595</v>
      </c>
      <c r="M31" s="13">
        <f t="shared" si="10"/>
        <v>213542.92345</v>
      </c>
      <c r="N31" s="13">
        <f t="shared" si="10"/>
        <v>198940.04395</v>
      </c>
      <c r="O31" s="13">
        <f t="shared" si="10"/>
        <v>216963.92995</v>
      </c>
      <c r="P31" s="13">
        <f t="shared" si="10"/>
        <v>212864.81595</v>
      </c>
      <c r="Q31" s="13">
        <f t="shared" si="10"/>
        <v>208765.70195</v>
      </c>
      <c r="R31" s="13">
        <f t="shared" si="10"/>
        <v>204993.95795</v>
      </c>
      <c r="S31" s="13">
        <f t="shared" si="10"/>
        <v>169270.92395</v>
      </c>
      <c r="T31" s="13">
        <f t="shared" si="10"/>
        <v>121095.53445</v>
      </c>
      <c r="U31" s="13"/>
      <c r="V31" s="13"/>
    </row>
    <row r="32" spans="1:20" s="14" customFormat="1" ht="18.75" customHeight="1">
      <c r="A32" s="14" t="s">
        <v>22</v>
      </c>
      <c r="C32" s="14">
        <f>33922000/15.6466</f>
        <v>2168010.9416742297</v>
      </c>
      <c r="D32" s="14">
        <f>40017000/15.6466</f>
        <v>2557552.4395076246</v>
      </c>
      <c r="E32" s="3">
        <f>46460000/15.6466</f>
        <v>2969335.1910319175</v>
      </c>
      <c r="F32" s="3">
        <f>46460000/15.6466</f>
        <v>2969335.1910319175</v>
      </c>
      <c r="G32" s="3">
        <f>41000000/15.6466</f>
        <v>2620377.590019557</v>
      </c>
      <c r="H32" s="3">
        <f>43388450.79/15.6466</f>
        <v>2773027.417458106</v>
      </c>
      <c r="I32" s="15">
        <f>41960000/15.6466</f>
        <v>2681732.772615137</v>
      </c>
      <c r="J32" s="3">
        <v>2756790</v>
      </c>
      <c r="K32" s="3">
        <v>2980111</v>
      </c>
      <c r="L32" s="3">
        <v>3027038</v>
      </c>
      <c r="M32" s="3">
        <v>3168360</v>
      </c>
      <c r="N32" s="3">
        <v>3269360</v>
      </c>
      <c r="O32" s="3">
        <v>3358960</v>
      </c>
      <c r="P32" s="3">
        <v>3443260</v>
      </c>
      <c r="Q32" s="3"/>
      <c r="R32" s="3"/>
      <c r="S32" s="3">
        <f>R32*1.02</f>
        <v>0</v>
      </c>
      <c r="T32" s="3">
        <f>S32*1.02</f>
        <v>0</v>
      </c>
    </row>
    <row r="33" spans="1:20" s="14" customFormat="1" ht="18.75" customHeight="1">
      <c r="A33" s="14" t="s">
        <v>19</v>
      </c>
      <c r="E33" s="3"/>
      <c r="F33" s="3"/>
      <c r="G33" s="3"/>
      <c r="H33" s="3"/>
      <c r="I33" s="15"/>
      <c r="J33" s="3"/>
      <c r="K33" s="3">
        <v>211122</v>
      </c>
      <c r="L33" s="3">
        <v>64385</v>
      </c>
      <c r="M33" s="3">
        <v>57385</v>
      </c>
      <c r="N33" s="3">
        <v>47385</v>
      </c>
      <c r="O33" s="3">
        <v>2223</v>
      </c>
      <c r="P33" s="3">
        <v>2223</v>
      </c>
      <c r="Q33" s="3"/>
      <c r="R33" s="3"/>
      <c r="S33" s="3"/>
      <c r="T33" s="3"/>
    </row>
    <row r="34" spans="1:16" s="14" customFormat="1" ht="15.75">
      <c r="A34" s="14" t="s">
        <v>12</v>
      </c>
      <c r="C34" s="14">
        <f aca="true" t="shared" si="11" ref="C34:P34">C31/C32*100</f>
        <v>6.132858837922292</v>
      </c>
      <c r="D34" s="14">
        <f t="shared" si="11"/>
        <v>12.432239735612365</v>
      </c>
      <c r="E34" s="14">
        <f t="shared" si="11"/>
        <v>9.403199257425744</v>
      </c>
      <c r="F34" s="14">
        <f t="shared" si="11"/>
        <v>15.458110062419287</v>
      </c>
      <c r="G34" s="14">
        <f t="shared" si="11"/>
        <v>9.554363817073169</v>
      </c>
      <c r="H34" s="14">
        <f t="shared" si="11"/>
        <v>8.829834139089474</v>
      </c>
      <c r="I34" s="14">
        <f t="shared" si="11"/>
        <v>9.235225557650715</v>
      </c>
      <c r="J34" s="14">
        <f t="shared" si="11"/>
        <v>9.004349992563816</v>
      </c>
      <c r="K34" s="14">
        <f t="shared" si="11"/>
        <v>5.806151044373851</v>
      </c>
      <c r="L34" s="14">
        <f t="shared" si="11"/>
        <v>6.404438792971876</v>
      </c>
      <c r="M34" s="14">
        <f t="shared" si="11"/>
        <v>6.7398566908432125</v>
      </c>
      <c r="N34" s="14">
        <f t="shared" si="11"/>
        <v>6.08498433791323</v>
      </c>
      <c r="O34" s="14">
        <f t="shared" si="11"/>
        <v>6.459259114428276</v>
      </c>
      <c r="P34" s="14">
        <f t="shared" si="11"/>
        <v>6.1820721046333995</v>
      </c>
    </row>
    <row r="35" spans="1:20" s="14" customFormat="1" ht="15.75">
      <c r="A35" s="14" t="s">
        <v>20</v>
      </c>
      <c r="H35" s="16">
        <f>H20/H32</f>
        <v>0.5370531189895185</v>
      </c>
      <c r="I35" s="16">
        <f>I20/I32</f>
        <v>0.3945023198446139</v>
      </c>
      <c r="J35" s="16">
        <f>J20/J32</f>
        <v>0.5756354310629391</v>
      </c>
      <c r="K35" s="16">
        <f aca="true" t="shared" si="12" ref="K35:P35">(K20-K33)/K32</f>
        <v>0.5150907633977392</v>
      </c>
      <c r="L35" s="16">
        <f t="shared" si="12"/>
        <v>0.5017141013756682</v>
      </c>
      <c r="M35" s="16">
        <f t="shared" si="12"/>
        <v>0.42247145210771503</v>
      </c>
      <c r="N35" s="16">
        <f t="shared" si="12"/>
        <v>0.35850308623094423</v>
      </c>
      <c r="O35" s="16">
        <f t="shared" si="12"/>
        <v>0.3032631082239741</v>
      </c>
      <c r="P35" s="16">
        <f t="shared" si="12"/>
        <v>0.23816373146378722</v>
      </c>
      <c r="Q35" s="16"/>
      <c r="R35" s="16"/>
      <c r="S35" s="16"/>
      <c r="T35" s="16"/>
    </row>
    <row r="36" spans="1:24" ht="17.25" customHeight="1">
      <c r="A36" s="17" t="s">
        <v>23</v>
      </c>
      <c r="B36" s="3"/>
      <c r="C36" s="3">
        <f aca="true" t="shared" si="13" ref="C36:P36">C32*0.6</f>
        <v>1300806.5650045378</v>
      </c>
      <c r="D36" s="3">
        <f t="shared" si="13"/>
        <v>1534531.4637045746</v>
      </c>
      <c r="E36" s="3">
        <f t="shared" si="13"/>
        <v>1781601.1146191505</v>
      </c>
      <c r="F36" s="3">
        <f t="shared" si="13"/>
        <v>1781601.1146191505</v>
      </c>
      <c r="G36" s="3">
        <f t="shared" si="13"/>
        <v>1572226.5540117342</v>
      </c>
      <c r="H36" s="3">
        <f t="shared" si="13"/>
        <v>1663816.4504748634</v>
      </c>
      <c r="I36" s="3">
        <f t="shared" si="13"/>
        <v>1609039.6635690823</v>
      </c>
      <c r="J36" s="3">
        <f t="shared" si="13"/>
        <v>1654074</v>
      </c>
      <c r="K36" s="3">
        <f t="shared" si="13"/>
        <v>1788066.5999999999</v>
      </c>
      <c r="L36" s="3">
        <f t="shared" si="13"/>
        <v>1816222.8</v>
      </c>
      <c r="M36" s="3">
        <f t="shared" si="13"/>
        <v>1901016</v>
      </c>
      <c r="N36" s="3">
        <f t="shared" si="13"/>
        <v>1961616</v>
      </c>
      <c r="O36" s="3">
        <f t="shared" si="13"/>
        <v>2015376</v>
      </c>
      <c r="P36" s="3">
        <f t="shared" si="13"/>
        <v>2065956</v>
      </c>
      <c r="Q36" s="3"/>
      <c r="R36" s="3"/>
      <c r="S36" s="3"/>
      <c r="T36" s="3"/>
      <c r="U36" s="3">
        <f>U32*0.6</f>
        <v>0</v>
      </c>
      <c r="V36" s="3">
        <f>V32*0.6</f>
        <v>0</v>
      </c>
      <c r="W36" s="3">
        <f>W32*0.6</f>
        <v>0</v>
      </c>
      <c r="X36" s="3">
        <f>X32*0.6</f>
        <v>0</v>
      </c>
    </row>
    <row r="37" spans="1:20" s="5" customFormat="1" ht="21" customHeight="1">
      <c r="A37" s="17" t="s">
        <v>21</v>
      </c>
      <c r="B37" s="7"/>
      <c r="C37" s="7">
        <f aca="true" t="shared" si="14" ref="C37:H37">C36-C20</f>
        <v>1150595.3162416925</v>
      </c>
      <c r="D37" s="7">
        <f t="shared" si="14"/>
        <v>274996.591918197</v>
      </c>
      <c r="E37" s="7">
        <f t="shared" si="14"/>
        <v>693387.3605196825</v>
      </c>
      <c r="F37" s="7">
        <f t="shared" si="14"/>
        <v>113746.60789610934</v>
      </c>
      <c r="G37" s="7">
        <f t="shared" si="14"/>
        <v>82963.53042240907</v>
      </c>
      <c r="H37" s="7">
        <f t="shared" si="14"/>
        <v>174553.42688553827</v>
      </c>
      <c r="I37" s="7">
        <f>I36-I20+I11</f>
        <v>764765.102918206</v>
      </c>
      <c r="J37" s="7">
        <f>J36-J20+J11</f>
        <v>280211.8</v>
      </c>
      <c r="K37" s="7">
        <f aca="true" t="shared" si="15" ref="K37:P37">K36-K20+K33</f>
        <v>253038.94999999995</v>
      </c>
      <c r="L37" s="7">
        <f t="shared" si="15"/>
        <v>297515.15000000014</v>
      </c>
      <c r="M37" s="7">
        <f t="shared" si="15"/>
        <v>562474.3500000001</v>
      </c>
      <c r="N37" s="7">
        <f t="shared" si="15"/>
        <v>789540.3500000001</v>
      </c>
      <c r="O37" s="7">
        <f t="shared" si="15"/>
        <v>996727.35</v>
      </c>
      <c r="P37" s="7">
        <f t="shared" si="15"/>
        <v>1245896.35</v>
      </c>
      <c r="Q37" s="7"/>
      <c r="R37" s="7"/>
      <c r="S37" s="7"/>
      <c r="T37" s="7"/>
    </row>
    <row r="38" ht="15.75">
      <c r="A38" s="18"/>
    </row>
    <row r="39" ht="15.75">
      <c r="A39" s="18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 xml:space="preserve">&amp;CLisa 3.Laenud 2015 </oddHeader>
    <oddFooter>&amp;C01.12.2014 L3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Arvo</dc:creator>
  <cp:keywords/>
  <dc:description/>
  <cp:lastModifiedBy>Tonis</cp:lastModifiedBy>
  <cp:lastPrinted>2014-11-17T06:36:24Z</cp:lastPrinted>
  <dcterms:created xsi:type="dcterms:W3CDTF">2013-03-14T08:36:50Z</dcterms:created>
  <dcterms:modified xsi:type="dcterms:W3CDTF">2014-12-01T14:32:20Z</dcterms:modified>
  <cp:category/>
  <cp:version/>
  <cp:contentType/>
  <cp:contentStatus/>
</cp:coreProperties>
</file>